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USA\Green Building and Climate Branch\Green Building\Green Building\Green Building Codes\2023 Codes\"/>
    </mc:Choice>
  </mc:AlternateContent>
  <xr:revisionPtr revIDLastSave="0" documentId="8_{F5FD9659-A024-47FD-82BA-287289C1D361}" xr6:coauthVersionLast="47" xr6:coauthVersionMax="47" xr10:uidLastSave="{00000000-0000-0000-0000-000000000000}"/>
  <bookViews>
    <workbookView xWindow="-120" yWindow="-120" windowWidth="29040" windowHeight="17640" xr2:uid="{512068E7-1115-4938-A05F-3E8D0BD6450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F21" i="1" s="1"/>
  <c r="E13" i="1"/>
  <c r="L13" i="1"/>
  <c r="M13" i="1"/>
  <c r="P13" i="1"/>
  <c r="S13" i="1"/>
  <c r="V13" i="1"/>
  <c r="I13" i="1"/>
  <c r="I21" i="1" s="1"/>
  <c r="A21" i="1"/>
  <c r="B21" i="1"/>
  <c r="C21" i="1"/>
  <c r="D21" i="1"/>
  <c r="G21" i="1"/>
  <c r="H21" i="1"/>
  <c r="J20" i="1"/>
  <c r="N20" i="1" s="1"/>
  <c r="K20" i="1"/>
  <c r="L20" i="1"/>
  <c r="M20" i="1"/>
  <c r="O20" i="1"/>
  <c r="P20" i="1"/>
  <c r="Q20" i="1"/>
  <c r="R20" i="1"/>
  <c r="S20" i="1"/>
  <c r="T20" i="1"/>
  <c r="U20" i="1"/>
  <c r="W20" i="1" s="1"/>
  <c r="V20" i="1"/>
  <c r="A20" i="1"/>
  <c r="B20" i="1"/>
  <c r="C20" i="1"/>
  <c r="D20" i="1"/>
  <c r="E20" i="1"/>
  <c r="F20" i="1"/>
  <c r="G20" i="1"/>
  <c r="H20" i="1"/>
  <c r="I20" i="1"/>
  <c r="L12" i="1"/>
  <c r="M12" i="1" s="1"/>
  <c r="P12" i="1"/>
  <c r="S12" i="1"/>
  <c r="V12" i="1"/>
  <c r="D12" i="1"/>
  <c r="J12" i="1" s="1"/>
  <c r="V11" i="1"/>
  <c r="U11" i="1"/>
  <c r="V10" i="1"/>
  <c r="U10" i="1"/>
  <c r="V9" i="1"/>
  <c r="U9" i="1"/>
  <c r="U13" i="1" l="1"/>
  <c r="W13" i="1" s="1"/>
  <c r="O13" i="1"/>
  <c r="Q13" i="1" s="1"/>
  <c r="J13" i="1"/>
  <c r="R13" i="1"/>
  <c r="T13" i="1" s="1"/>
  <c r="E21" i="1"/>
  <c r="R21" i="1"/>
  <c r="T21" i="1" s="1"/>
  <c r="L21" i="1"/>
  <c r="M21" i="1" s="1"/>
  <c r="S21" i="1"/>
  <c r="V21" i="1"/>
  <c r="P21" i="1"/>
  <c r="U21" i="1"/>
  <c r="W21" i="1" s="1"/>
  <c r="O21" i="1"/>
  <c r="J21" i="1"/>
  <c r="N12" i="1"/>
  <c r="K12" i="1"/>
  <c r="R12" i="1"/>
  <c r="T12" i="1" s="1"/>
  <c r="O12" i="1"/>
  <c r="Q12" i="1" s="1"/>
  <c r="U12" i="1"/>
  <c r="W12" i="1" s="1"/>
  <c r="W9" i="1"/>
  <c r="C19" i="1"/>
  <c r="S11" i="1"/>
  <c r="S10" i="1"/>
  <c r="S9" i="1"/>
  <c r="R11" i="1"/>
  <c r="R10" i="1"/>
  <c r="R9" i="1"/>
  <c r="P11" i="1"/>
  <c r="O11" i="1"/>
  <c r="Q11" i="1" s="1"/>
  <c r="I19" i="1"/>
  <c r="H19" i="1"/>
  <c r="G19" i="1"/>
  <c r="F19" i="1"/>
  <c r="E19" i="1"/>
  <c r="D19" i="1"/>
  <c r="B19" i="1"/>
  <c r="A19" i="1"/>
  <c r="K13" i="1" l="1"/>
  <c r="N13" i="1"/>
  <c r="Q21" i="1"/>
  <c r="K21" i="1"/>
  <c r="N21" i="1"/>
  <c r="L19" i="1"/>
  <c r="V19" i="1"/>
  <c r="T11" i="1"/>
  <c r="P19" i="1"/>
  <c r="J19" i="1"/>
  <c r="K19" i="1" s="1"/>
  <c r="U19" i="1"/>
  <c r="W19" i="1" s="1"/>
  <c r="W11" i="1"/>
  <c r="W10" i="1"/>
  <c r="S19" i="1"/>
  <c r="T10" i="1"/>
  <c r="T9" i="1"/>
  <c r="O19" i="1"/>
  <c r="Q19" i="1" s="1"/>
  <c r="R19" i="1"/>
  <c r="T19" i="1" s="1"/>
  <c r="N19" i="1"/>
  <c r="M19" i="1"/>
  <c r="L11" i="1"/>
  <c r="M11" i="1" s="1"/>
  <c r="J11" i="1"/>
  <c r="K11" i="1" s="1"/>
  <c r="N11" i="1" l="1"/>
  <c r="C18" i="1"/>
  <c r="B18" i="1"/>
  <c r="C17" i="1"/>
  <c r="B17" i="1"/>
  <c r="A18" i="1"/>
  <c r="A17" i="1"/>
  <c r="P10" i="1"/>
  <c r="P9" i="1"/>
  <c r="O10" i="1"/>
  <c r="O9" i="1"/>
  <c r="Q9" i="1" s="1"/>
  <c r="I18" i="1"/>
  <c r="H18" i="1"/>
  <c r="V18" i="1" s="1"/>
  <c r="G17" i="1"/>
  <c r="F17" i="1"/>
  <c r="G18" i="1"/>
  <c r="F18" i="1"/>
  <c r="E18" i="1"/>
  <c r="J9" i="1"/>
  <c r="K9" i="1" s="1"/>
  <c r="I17" i="1"/>
  <c r="L10" i="1"/>
  <c r="M10" i="1" s="1"/>
  <c r="L9" i="1"/>
  <c r="M9" i="1" s="1"/>
  <c r="Q10" i="1" l="1"/>
  <c r="L18" i="1"/>
  <c r="M18" i="1" s="1"/>
  <c r="P18" i="1"/>
  <c r="S18" i="1"/>
  <c r="D17" i="1"/>
  <c r="H17" i="1"/>
  <c r="V17" i="1" s="1"/>
  <c r="E17" i="1"/>
  <c r="N9" i="1"/>
  <c r="U17" i="1" l="1"/>
  <c r="W17" i="1" s="1"/>
  <c r="L17" i="1"/>
  <c r="M17" i="1" s="1"/>
  <c r="S17" i="1"/>
  <c r="P17" i="1"/>
  <c r="R17" i="1"/>
  <c r="T17" i="1" s="1"/>
  <c r="O17" i="1"/>
  <c r="J10" i="1"/>
  <c r="D18" i="1"/>
  <c r="U18" i="1" s="1"/>
  <c r="W18" i="1" s="1"/>
  <c r="J17" i="1"/>
  <c r="N17" i="1" s="1"/>
  <c r="Q17" i="1" l="1"/>
  <c r="J18" i="1"/>
  <c r="O18" i="1"/>
  <c r="Q18" i="1" s="1"/>
  <c r="R18" i="1"/>
  <c r="T18" i="1" s="1"/>
  <c r="K17" i="1"/>
  <c r="K18" i="1"/>
  <c r="N18" i="1"/>
  <c r="N10" i="1"/>
  <c r="K10" i="1"/>
</calcChain>
</file>

<file path=xl/sharedStrings.xml><?xml version="1.0" encoding="utf-8"?>
<sst xmlns="http://schemas.openxmlformats.org/spreadsheetml/2006/main" count="60" uniqueCount="38">
  <si>
    <t>Baseline</t>
  </si>
  <si>
    <t>Regulated</t>
  </si>
  <si>
    <t>Elec</t>
  </si>
  <si>
    <t>Ngas</t>
  </si>
  <si>
    <t>Elec (kWh)</t>
  </si>
  <si>
    <t>Ngas (therm)</t>
  </si>
  <si>
    <t>Unregulated</t>
  </si>
  <si>
    <t>Proposed</t>
  </si>
  <si>
    <t>% difference</t>
  </si>
  <si>
    <t>GSF</t>
  </si>
  <si>
    <t>Units</t>
  </si>
  <si>
    <t>EUI</t>
  </si>
  <si>
    <t>kBtu</t>
  </si>
  <si>
    <t>Utility Rates</t>
  </si>
  <si>
    <t>/therm</t>
  </si>
  <si>
    <t>/kWh</t>
  </si>
  <si>
    <t>Annual Energy Cost</t>
  </si>
  <si>
    <t>Annual Site Energy (kBtu)</t>
  </si>
  <si>
    <t>Model Output (Annual Site Energy)</t>
  </si>
  <si>
    <t>2017 DC BPF</t>
  </si>
  <si>
    <t>CURRENT BPF (2017 DC ENERGY CODE)</t>
  </si>
  <si>
    <t>PROPOSED BPF (ASHRAE 90.1 2019 Addendum CH)</t>
  </si>
  <si>
    <t>Source EUI</t>
  </si>
  <si>
    <t>Source Conversion</t>
  </si>
  <si>
    <t>MF midrise (4 stories) with in-unit gas DHW and one-to-one heat pumps</t>
  </si>
  <si>
    <t>MF midrise (4 stories) with in-unit elec DHW and one-to-one heat pumps</t>
  </si>
  <si>
    <t>MF mixed use (7 stories)</t>
  </si>
  <si>
    <t>ASHRAE 90.1 2004 Baseline</t>
  </si>
  <si>
    <t>2017 DC code baseline</t>
  </si>
  <si>
    <t>ASHRAE 90.1 2019</t>
  </si>
  <si>
    <t>Carbon Factors</t>
  </si>
  <si>
    <t>Carbon Emissions</t>
  </si>
  <si>
    <t>Addendum CH Site Energy BPF</t>
  </si>
  <si>
    <t>Addendum CH Source Energy BPF</t>
  </si>
  <si>
    <t>Addendum CH Carbon Emission BPF</t>
  </si>
  <si>
    <t>tCo2e/kBTU</t>
  </si>
  <si>
    <t xml:space="preserve">MF (12 stories ), central gas fired DHW </t>
  </si>
  <si>
    <t xml:space="preserve">MF (9 stories), in unit electric DHW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</si>
</sst>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7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0"/>
      <name val="Arial"/>
    </font>
    <font>
      <sz val="11"/>
      <color theme="1"/>
      <name val="Tahoma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</fills>
  <borders count="1">
    <border>
      <left/>
      <right/>
      <top/>
      <bottom/>
      <diagonal/>
    </border>
  </borders>
  <cellStyleXfs count="2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" fillId="0" borderId="0"/>
    <xf numFmtId="0" fontId="7" fillId="0" borderId="0"/>
    <xf numFmtId="0" fontId="1" fillId="0" borderId="0"/>
    <xf numFmtId="9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4" borderId="0" applyNumberFormat="0" applyBorder="0" applyAlignment="0" applyProtection="0"/>
    <xf numFmtId="0" fontId="1" fillId="5" borderId="0" applyNumberFormat="0" applyBorder="0" applyAlignment="0" applyProtection="0"/>
    <xf numFmtId="0" fontId="8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0" borderId="0"/>
    <xf numFmtId="0" fontId="1" fillId="6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0" borderId="0"/>
  </cellStyleXfs>
  <cellXfs count="22">
    <xf numFmtId="0" fontId="0" fillId="0" borderId="0" xfId="0"/>
    <xf numFmtId="0" fontId="0" fillId="2" borderId="0" xfId="0" applyFill="1"/>
    <xf numFmtId="2" fontId="0" fillId="2" borderId="0" xfId="0" applyNumberFormat="1" applyFill="1"/>
    <xf numFmtId="164" fontId="0" fillId="0" borderId="0" xfId="1" applyNumberFormat="1" applyFont="1"/>
    <xf numFmtId="165" fontId="0" fillId="0" borderId="0" xfId="1" applyNumberFormat="1" applyFont="1"/>
    <xf numFmtId="0" fontId="0" fillId="0" borderId="0" xfId="0" applyAlignment="1">
      <alignment vertical="top"/>
    </xf>
    <xf numFmtId="0" fontId="0" fillId="0" borderId="0" xfId="0" quotePrefix="1"/>
    <xf numFmtId="165" fontId="0" fillId="0" borderId="0" xfId="0" applyNumberFormat="1"/>
    <xf numFmtId="164" fontId="2" fillId="0" borderId="0" xfId="1" applyNumberFormat="1" applyFont="1"/>
    <xf numFmtId="166" fontId="2" fillId="0" borderId="0" xfId="3" applyNumberFormat="1" applyFont="1"/>
    <xf numFmtId="167" fontId="0" fillId="0" borderId="0" xfId="2" applyNumberFormat="1" applyFont="1"/>
    <xf numFmtId="166" fontId="3" fillId="0" borderId="0" xfId="3" applyNumberFormat="1" applyFont="1"/>
    <xf numFmtId="166" fontId="4" fillId="0" borderId="0" xfId="3" applyNumberFormat="1" applyFont="1"/>
    <xf numFmtId="2" fontId="2" fillId="0" borderId="0" xfId="0" applyNumberFormat="1" applyFont="1" applyFill="1" applyAlignment="1">
      <alignment horizontal="center"/>
    </xf>
    <xf numFmtId="0" fontId="2" fillId="0" borderId="0" xfId="0" applyFont="1" applyAlignment="1">
      <alignment horizontal="center" vertical="top"/>
    </xf>
    <xf numFmtId="164" fontId="0" fillId="0" borderId="0" xfId="0" applyNumberFormat="1"/>
    <xf numFmtId="2" fontId="0" fillId="3" borderId="0" xfId="0" applyNumberFormat="1" applyFill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2" fillId="0" borderId="0" xfId="0" applyFont="1" applyAlignment="1">
      <alignment horizontal="center"/>
    </xf>
  </cellXfs>
  <cellStyles count="26">
    <cellStyle name="20% - Accent2 2" xfId="18" xr:uid="{1695B399-0231-4B21-BD3F-311BAD369F9E}"/>
    <cellStyle name="20% - Accent2 2 2" xfId="22" xr:uid="{23AF3F0F-3005-4F11-82BF-E984DCAB36B0}"/>
    <cellStyle name="20% - Accent2 3" xfId="13" xr:uid="{1CD268B6-2883-4783-81F8-34DE5489048B}"/>
    <cellStyle name="20% - Accent5 2" xfId="16" xr:uid="{DD385B62-13E9-470A-8B1B-2F373F2B2FD7}"/>
    <cellStyle name="20% - Accent5 2 2" xfId="23" xr:uid="{BD3CA2A9-D679-42AF-87B2-1478E19D15A3}"/>
    <cellStyle name="20% - Accent5 3" xfId="15" xr:uid="{6A721103-217C-4DD1-AA07-36E5B098FDC3}"/>
    <cellStyle name="40% - Accent5 2" xfId="17" xr:uid="{59D41C0D-F669-416C-954F-ECB5A5C1FBEE}"/>
    <cellStyle name="40% - Accent5 2 2" xfId="24" xr:uid="{3D69B037-460B-4210-A337-1BF9DE0673D9}"/>
    <cellStyle name="60% - Accent2 2" xfId="19" xr:uid="{11877BF9-9DF4-499A-A54B-F0617FB2AD0D}"/>
    <cellStyle name="60% - Accent2 2 2" xfId="21" xr:uid="{EC457FA7-1DE8-45C2-8548-403C9EFB9FE9}"/>
    <cellStyle name="Accent2 2" xfId="12" xr:uid="{7D50522D-C736-4ADA-930D-D439B7198C26}"/>
    <cellStyle name="Accent5 2" xfId="14" xr:uid="{F7106D11-1D11-4CC2-AEA0-2D80F9F28EC4}"/>
    <cellStyle name="Comma" xfId="1" builtinId="3"/>
    <cellStyle name="Comma 2" xfId="11" xr:uid="{CECC19EA-FDCD-43F8-B7DC-FA6842D1F9B8}"/>
    <cellStyle name="Currency" xfId="2" builtinId="4"/>
    <cellStyle name="Currency 2" xfId="5" xr:uid="{3DA9E187-FB5A-4D2D-8378-2D935B2C93E7}"/>
    <cellStyle name="Normal" xfId="0" builtinId="0"/>
    <cellStyle name="Normal 2" xfId="7" xr:uid="{482A64C9-4485-4E88-925F-DB8678B86870}"/>
    <cellStyle name="Normal 3" xfId="8" xr:uid="{8DF50884-0D4A-4CA4-BB9E-1F6BAD363717}"/>
    <cellStyle name="Normal 4" xfId="9" xr:uid="{875750D9-63E7-4E65-9D9A-789E850C294D}"/>
    <cellStyle name="Normal 5" xfId="20" xr:uid="{06A8C583-F155-4651-A88C-F9A6B3A3A100}"/>
    <cellStyle name="Normal 5 2" xfId="25" xr:uid="{AE7B7F7C-18A4-47ED-9B0C-9365DCA4705A}"/>
    <cellStyle name="Normal 6" xfId="4" xr:uid="{F382CA3A-1DC8-4517-B977-875810AE81B9}"/>
    <cellStyle name="Percent" xfId="3" builtinId="5"/>
    <cellStyle name="Percent 2" xfId="10" xr:uid="{DAC293F7-E398-472A-98D3-15CAEC19B0B7}"/>
    <cellStyle name="Percent 3" xfId="6" xr:uid="{F25CF07A-2D73-4FE4-A569-0F9C948268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5B976-5F19-4AD5-91AB-159E0C94BDA2}">
  <dimension ref="A1:W21"/>
  <sheetViews>
    <sheetView tabSelected="1" workbookViewId="0">
      <pane xSplit="3" ySplit="8" topLeftCell="I9" activePane="bottomRight" state="frozen"/>
      <selection pane="topRight" activeCell="D1" sqref="D1"/>
      <selection pane="bottomLeft" activeCell="A9" sqref="A9"/>
      <selection pane="bottomRight" activeCell="J18" sqref="J18"/>
    </sheetView>
  </sheetViews>
  <sheetFormatPr defaultRowHeight="15" x14ac:dyDescent="0.25"/>
  <cols>
    <col min="1" max="1" width="11.5703125" bestFit="1" customWidth="1"/>
    <col min="3" max="3" width="65.42578125" customWidth="1"/>
    <col min="4" max="9" width="10.7109375" customWidth="1"/>
    <col min="10" max="10" width="12.7109375" customWidth="1"/>
    <col min="11" max="11" width="10.7109375" customWidth="1"/>
    <col min="12" max="12" width="12.7109375" customWidth="1"/>
    <col min="13" max="23" width="10.7109375" customWidth="1"/>
  </cols>
  <sheetData>
    <row r="1" spans="1:23" x14ac:dyDescent="0.25">
      <c r="N1" t="s">
        <v>13</v>
      </c>
      <c r="Q1" t="s">
        <v>23</v>
      </c>
      <c r="T1" t="s">
        <v>30</v>
      </c>
    </row>
    <row r="2" spans="1:23" x14ac:dyDescent="0.25">
      <c r="N2" t="s">
        <v>2</v>
      </c>
      <c r="O2">
        <v>0.1275</v>
      </c>
      <c r="P2" s="6" t="s">
        <v>15</v>
      </c>
      <c r="Q2" t="s">
        <v>2</v>
      </c>
      <c r="R2">
        <v>2.8</v>
      </c>
      <c r="T2" t="s">
        <v>2</v>
      </c>
      <c r="U2">
        <v>1.2667000000000001E-4</v>
      </c>
      <c r="V2" t="s">
        <v>35</v>
      </c>
    </row>
    <row r="3" spans="1:23" x14ac:dyDescent="0.25">
      <c r="N3" t="s">
        <v>3</v>
      </c>
      <c r="O3">
        <v>1.4510000000000001</v>
      </c>
      <c r="P3" s="6" t="s">
        <v>14</v>
      </c>
      <c r="Q3" t="s">
        <v>3</v>
      </c>
      <c r="R3">
        <v>1.05</v>
      </c>
      <c r="T3" t="s">
        <v>3</v>
      </c>
      <c r="U3">
        <v>5.3109999999999998E-5</v>
      </c>
      <c r="V3" t="s">
        <v>35</v>
      </c>
    </row>
    <row r="5" spans="1:23" x14ac:dyDescent="0.25">
      <c r="A5" s="17" t="s">
        <v>20</v>
      </c>
      <c r="D5" s="21" t="s">
        <v>18</v>
      </c>
      <c r="E5" s="21"/>
      <c r="F5" s="21"/>
      <c r="G5" s="21"/>
      <c r="H5" s="21"/>
      <c r="I5" s="21"/>
      <c r="J5" s="21" t="s">
        <v>17</v>
      </c>
      <c r="K5" s="21"/>
      <c r="L5" s="21"/>
      <c r="M5" s="21"/>
      <c r="N5" s="21"/>
      <c r="O5" s="21" t="s">
        <v>16</v>
      </c>
      <c r="P5" s="21"/>
      <c r="Q5" s="21"/>
      <c r="R5" s="21" t="s">
        <v>22</v>
      </c>
      <c r="S5" s="21"/>
      <c r="T5" s="21"/>
      <c r="U5" s="21" t="s">
        <v>31</v>
      </c>
      <c r="V5" s="21"/>
      <c r="W5" s="21"/>
    </row>
    <row r="6" spans="1:23" x14ac:dyDescent="0.25">
      <c r="D6" s="18" t="s">
        <v>27</v>
      </c>
      <c r="E6" s="18"/>
      <c r="F6" s="18"/>
      <c r="G6" s="18"/>
      <c r="H6" s="19" t="s">
        <v>7</v>
      </c>
      <c r="I6" s="19"/>
      <c r="J6" s="18" t="s">
        <v>28</v>
      </c>
      <c r="K6" s="18"/>
      <c r="L6" s="19" t="s">
        <v>7</v>
      </c>
      <c r="M6" s="19"/>
      <c r="N6" s="20" t="s">
        <v>8</v>
      </c>
      <c r="O6" t="s">
        <v>0</v>
      </c>
      <c r="P6" t="s">
        <v>7</v>
      </c>
      <c r="Q6" t="s">
        <v>8</v>
      </c>
      <c r="R6" t="s">
        <v>0</v>
      </c>
      <c r="S6" t="s">
        <v>7</v>
      </c>
      <c r="T6" t="s">
        <v>8</v>
      </c>
      <c r="U6" t="s">
        <v>0</v>
      </c>
      <c r="V6" t="s">
        <v>7</v>
      </c>
      <c r="W6" t="s">
        <v>8</v>
      </c>
    </row>
    <row r="7" spans="1:23" x14ac:dyDescent="0.25">
      <c r="D7" s="18" t="s">
        <v>1</v>
      </c>
      <c r="E7" s="18"/>
      <c r="F7" s="18" t="s">
        <v>6</v>
      </c>
      <c r="G7" s="18"/>
      <c r="H7" s="19"/>
      <c r="I7" s="19"/>
      <c r="J7" t="s">
        <v>19</v>
      </c>
      <c r="L7" s="19"/>
      <c r="M7" s="19"/>
      <c r="N7" s="20"/>
      <c r="O7" t="s">
        <v>19</v>
      </c>
      <c r="R7" t="s">
        <v>19</v>
      </c>
      <c r="U7" t="s">
        <v>19</v>
      </c>
    </row>
    <row r="8" spans="1:23" x14ac:dyDescent="0.25">
      <c r="A8" t="s">
        <v>9</v>
      </c>
      <c r="B8" t="s">
        <v>10</v>
      </c>
      <c r="D8" t="s">
        <v>4</v>
      </c>
      <c r="E8" t="s">
        <v>5</v>
      </c>
      <c r="F8" t="s">
        <v>4</v>
      </c>
      <c r="G8" t="s">
        <v>5</v>
      </c>
      <c r="H8" t="s">
        <v>4</v>
      </c>
      <c r="I8" t="s">
        <v>5</v>
      </c>
      <c r="J8" s="16">
        <v>0.57999999999999996</v>
      </c>
      <c r="K8" s="13" t="s">
        <v>11</v>
      </c>
      <c r="L8" s="5" t="s">
        <v>12</v>
      </c>
      <c r="M8" s="14" t="s">
        <v>11</v>
      </c>
      <c r="N8" s="20"/>
      <c r="O8" s="2">
        <v>0.57999999999999996</v>
      </c>
      <c r="R8" s="16">
        <v>0.57999999999999996</v>
      </c>
      <c r="U8" s="16">
        <v>0.57999999999999996</v>
      </c>
    </row>
    <row r="9" spans="1:23" x14ac:dyDescent="0.25">
      <c r="A9" s="4">
        <v>72297</v>
      </c>
      <c r="B9">
        <v>70</v>
      </c>
      <c r="C9" t="s">
        <v>24</v>
      </c>
      <c r="D9" s="4">
        <v>288560.5</v>
      </c>
      <c r="E9" s="4">
        <v>29914.5</v>
      </c>
      <c r="F9" s="4">
        <v>186969</v>
      </c>
      <c r="G9" s="4">
        <v>3.5</v>
      </c>
      <c r="H9" s="4">
        <v>499453</v>
      </c>
      <c r="I9" s="4">
        <v>9078</v>
      </c>
      <c r="J9" s="4">
        <f>((D9*$J$8)+F9)*3.412+((E9*$J$8)+G9)*100</f>
        <v>2944378.9150799997</v>
      </c>
      <c r="K9" s="8">
        <f>J9/A9</f>
        <v>40.726156203991863</v>
      </c>
      <c r="L9" s="4">
        <f>H9*3.412+I9*100</f>
        <v>2611933.6359999999</v>
      </c>
      <c r="M9" s="8">
        <f>L9/A9</f>
        <v>36.127828761912667</v>
      </c>
      <c r="N9" s="12">
        <f>(J9-L9)/J9</f>
        <v>0.11290845664508066</v>
      </c>
      <c r="O9" s="10">
        <f>((D9*$O$8)+F9)*$O$2+((E9*$O$8)+G9)*$O$3</f>
        <v>70358.119884999993</v>
      </c>
      <c r="P9" s="10">
        <f>H9*$O$2+I9*$O$3</f>
        <v>76852.435499999992</v>
      </c>
      <c r="Q9" s="11">
        <f>(O9-P9)/O9</f>
        <v>-9.2303711719627063E-2</v>
      </c>
      <c r="R9" s="3">
        <f>(((D9*$R$8)+F9)*3.412*$R$2+((E9*$R$8)+G9)*100*$R$3)/A9</f>
        <v>72.026871270232519</v>
      </c>
      <c r="S9" s="15">
        <f>((H9*3.412*$R$2)+(I9*100*$R$3))/A9</f>
        <v>79.183979705935229</v>
      </c>
      <c r="T9" s="11">
        <f>(R9-S9)/R9</f>
        <v>-9.9367198789608147E-2</v>
      </c>
      <c r="U9" s="3">
        <f>(((D9*$U$8)+F9)*3.412*$U$2+((E9*$U$8)+G9)*100*$U$3)</f>
        <v>245.30911521318359</v>
      </c>
      <c r="V9" s="15">
        <f>((H9*3.412*$U$2)+(I9*100*$U$3))</f>
        <v>264.07586567212002</v>
      </c>
      <c r="W9" s="11">
        <f>(U9-V9)/U9</f>
        <v>-7.6502458714701085E-2</v>
      </c>
    </row>
    <row r="10" spans="1:23" x14ac:dyDescent="0.25">
      <c r="A10" s="4">
        <v>72297</v>
      </c>
      <c r="B10">
        <v>70</v>
      </c>
      <c r="C10" t="s">
        <v>25</v>
      </c>
      <c r="D10" s="4">
        <v>288560.5</v>
      </c>
      <c r="E10" s="4">
        <v>29914.5</v>
      </c>
      <c r="F10" s="4">
        <v>186969</v>
      </c>
      <c r="G10" s="4">
        <v>3.5</v>
      </c>
      <c r="H10" s="4">
        <v>715259</v>
      </c>
      <c r="I10" s="4">
        <v>0</v>
      </c>
      <c r="J10" s="4">
        <f>((D10*$J$8)+F10)*3.412+((E10*$J$8)+G10)*100</f>
        <v>2944378.9150799997</v>
      </c>
      <c r="K10" s="8">
        <f>J10/A10</f>
        <v>40.726156203991863</v>
      </c>
      <c r="L10" s="4">
        <f>H10*3.412+I10*100</f>
        <v>2440463.7080000001</v>
      </c>
      <c r="M10" s="8">
        <f>L10/A10</f>
        <v>33.756085425398012</v>
      </c>
      <c r="N10" s="12">
        <f>(J10-L10)/J10</f>
        <v>0.17114482259709704</v>
      </c>
      <c r="O10" s="10">
        <f>((D10*$O$8)+F10)*$O$2+((E10*$O$8)+G10)*$O$3</f>
        <v>70358.119884999993</v>
      </c>
      <c r="P10" s="10">
        <f>H10*$O$2+I10*$O$3</f>
        <v>91195.522500000006</v>
      </c>
      <c r="Q10" s="11">
        <f>(O10-P10)/O10</f>
        <v>-0.2961620158278625</v>
      </c>
      <c r="R10" s="3">
        <f>(((D10*$R$8)+F10)*3.412*$R$2+((E10*$R$8)+G10)*100*$R$3)/A10</f>
        <v>72.026871270232519</v>
      </c>
      <c r="S10" s="15">
        <f>((H10*3.412*$R$2)+(I10*100*$R$3))/A10</f>
        <v>94.517039191114421</v>
      </c>
      <c r="T10" s="11">
        <f>(R10-S10)/R10</f>
        <v>-0.31224690902514191</v>
      </c>
      <c r="U10" s="3">
        <f>(((D10*$U$8)+F10)*3.412*$U$2+((E10*$U$8)+G10)*100*$U$3)</f>
        <v>245.30911521318359</v>
      </c>
      <c r="V10" s="15">
        <f>((H10*3.412*$U$2)+(I10*100*$U$3))</f>
        <v>309.13353789236004</v>
      </c>
      <c r="W10" s="11">
        <f>(U10-V10)/U10</f>
        <v>-0.2601795804599859</v>
      </c>
    </row>
    <row r="11" spans="1:23" x14ac:dyDescent="0.25">
      <c r="A11" s="4">
        <v>422039</v>
      </c>
      <c r="B11">
        <v>431</v>
      </c>
      <c r="C11" t="s">
        <v>26</v>
      </c>
      <c r="D11" s="4">
        <v>2193677</v>
      </c>
      <c r="E11" s="4">
        <v>86681</v>
      </c>
      <c r="F11" s="4">
        <v>2489834</v>
      </c>
      <c r="G11" s="4">
        <v>14</v>
      </c>
      <c r="H11" s="4">
        <v>4574174</v>
      </c>
      <c r="I11" s="4">
        <v>1565</v>
      </c>
      <c r="J11" s="4">
        <f>((D11*$J$8)+F11)*3.412+((E11*$J$8)+G11)*100</f>
        <v>17865410.643920001</v>
      </c>
      <c r="K11" s="8">
        <f>J11/A11</f>
        <v>42.331184188949365</v>
      </c>
      <c r="L11" s="4">
        <f>H11*3.412+I11*100</f>
        <v>15763581.687999999</v>
      </c>
      <c r="M11" s="8">
        <f>L11/A11</f>
        <v>37.351007105978354</v>
      </c>
      <c r="N11" s="12">
        <f>(J11-L11)/J11</f>
        <v>0.11764795099379935</v>
      </c>
      <c r="O11" s="10">
        <f>((D11*$O$8)+F11)*$O$2+((E11*$O$8)+G11)*$O$3</f>
        <v>552645.55913000007</v>
      </c>
      <c r="P11" s="10">
        <f>H11*$O$2+I11*$O$3</f>
        <v>585478</v>
      </c>
      <c r="Q11" s="11">
        <f>(O11-P11)/O11</f>
        <v>-5.9409580566767359E-2</v>
      </c>
      <c r="R11" s="3">
        <f>(((D11*$R$8)+F11)*3.412*$R$2+((E11*$R$8)+G11)*100*$R$3)/A11</f>
        <v>97.674808022424457</v>
      </c>
      <c r="S11" s="15">
        <f>((H11*3.412*$R$2)+(I11*100*$R$3))/A11</f>
        <v>103.93388697821764</v>
      </c>
      <c r="T11" s="11">
        <f>(R11-S11)/R11</f>
        <v>-6.4080790968703089E-2</v>
      </c>
      <c r="U11" s="3">
        <f>(((D11*$U$8)+F11)*3.412*$U$2+((E11*$U$8)+G11)*100*$U$3)</f>
        <v>1893.0858293853466</v>
      </c>
      <c r="V11" s="15">
        <f>((H11*3.412*$U$2)+(I11*100*$U$3))</f>
        <v>1985.26075241896</v>
      </c>
      <c r="W11" s="11">
        <f>(U11-V11)/U11</f>
        <v>-4.8690303209094871E-2</v>
      </c>
    </row>
    <row r="12" spans="1:23" x14ac:dyDescent="0.25">
      <c r="A12" s="4">
        <v>379493</v>
      </c>
      <c r="B12">
        <v>466</v>
      </c>
      <c r="C12" t="s">
        <v>36</v>
      </c>
      <c r="D12" s="4">
        <f>3553961-F12</f>
        <v>2074399</v>
      </c>
      <c r="E12" s="4">
        <v>146284</v>
      </c>
      <c r="F12" s="4">
        <v>1479562</v>
      </c>
      <c r="G12" s="4">
        <v>24</v>
      </c>
      <c r="H12" s="4">
        <v>3535763</v>
      </c>
      <c r="I12" s="4">
        <v>52007</v>
      </c>
      <c r="J12" s="4">
        <f>((D12*$J$8)+F12)*3.412+((E12*$J$8)+G12)*100</f>
        <v>17640290.189039998</v>
      </c>
      <c r="K12" s="8">
        <f>J12/A12</f>
        <v>46.483835509587784</v>
      </c>
      <c r="L12" s="4">
        <f>H12*3.412+I12*100</f>
        <v>17264723.355999999</v>
      </c>
      <c r="M12" s="8">
        <f>L12/A12</f>
        <v>45.494181331407951</v>
      </c>
      <c r="N12" s="12">
        <f>(J12-L12)/J12</f>
        <v>2.1290286555112375E-2</v>
      </c>
      <c r="O12" s="10">
        <f>((D12*$O$8)+F12)*$O$2+((E12*$O$8)+G12)*$O$3</f>
        <v>465190.47376999998</v>
      </c>
      <c r="P12" s="10">
        <f>H12*$O$2+I12*$O$3</f>
        <v>526271.93950000009</v>
      </c>
      <c r="Q12" s="11">
        <f>(O12-P12)/O12</f>
        <v>-0.13130420585568586</v>
      </c>
      <c r="R12" s="3">
        <f>(((D12*$R$8)+F12)*3.412*$R$2+((E12*$R$8)+G12)*100*$R$3)/A12</f>
        <v>91.018244155523291</v>
      </c>
      <c r="S12" s="15">
        <f>((H12*3.412*$R$2)+(I12*100*$R$3))/A12</f>
        <v>103.40111779874726</v>
      </c>
      <c r="T12" s="11">
        <f>(R12-S12)/R12</f>
        <v>-0.13604825887505917</v>
      </c>
      <c r="U12" s="3">
        <f>(((D12*$U$8)+F12)*3.412*$U$2+((E12*$U$8)+G12)*100*$U$3)</f>
        <v>1610.2012539256966</v>
      </c>
      <c r="V12" s="15">
        <f>((H12*3.412*$U$2)+(I12*100*$U$3))</f>
        <v>1804.3590155045201</v>
      </c>
      <c r="W12" s="11">
        <f>(U12-V12)/U12</f>
        <v>-0.12057981019792635</v>
      </c>
    </row>
    <row r="13" spans="1:23" x14ac:dyDescent="0.25">
      <c r="A13" s="4">
        <v>290000</v>
      </c>
      <c r="B13">
        <v>325</v>
      </c>
      <c r="C13" t="s">
        <v>37</v>
      </c>
      <c r="D13" s="4">
        <v>2017398</v>
      </c>
      <c r="E13" s="4">
        <f>78209-G13</f>
        <v>77916</v>
      </c>
      <c r="F13" s="4">
        <f>208486+24000</f>
        <v>232486</v>
      </c>
      <c r="G13" s="4">
        <v>293</v>
      </c>
      <c r="H13" s="4">
        <v>2332322</v>
      </c>
      <c r="I13" s="4">
        <f>99049+293</f>
        <v>99342</v>
      </c>
      <c r="J13" s="4">
        <f>((D13*$J$8)+F13)*3.412+((E13*$J$8)+G13)*100</f>
        <v>9334020.17808</v>
      </c>
      <c r="K13" s="8">
        <f>J13/A13</f>
        <v>32.186276476137934</v>
      </c>
      <c r="L13" s="4">
        <f>H13*3.412+I13*100</f>
        <v>17892082.664000001</v>
      </c>
      <c r="M13" s="8">
        <f>L13/A13</f>
        <v>61.696836772413796</v>
      </c>
      <c r="N13" s="12">
        <f>(J13-L13)/J13</f>
        <v>-0.91686779358134907</v>
      </c>
      <c r="O13" s="10">
        <f>((D13*$O$8)+F13)*$O$2+((E13*$O$8)+G13)*$O$3</f>
        <v>244826.23738000001</v>
      </c>
      <c r="P13" s="10">
        <f>H13*$O$2+I13*$O$3</f>
        <v>441516.29700000002</v>
      </c>
      <c r="Q13" s="11">
        <f>(O13-P13)/O13</f>
        <v>-0.80338635974996908</v>
      </c>
      <c r="R13" s="3">
        <f>(((D13*$R$8)+F13)*3.412*$R$2+((E13*$R$8)+G13)*100*$R$3)/A13</f>
        <v>62.674163788358612</v>
      </c>
      <c r="S13" s="15">
        <f>((H13*3.412*$R$2)+(I13*100*$R$3))/A13</f>
        <v>112.80338434206897</v>
      </c>
      <c r="T13" s="11">
        <f>(R13-S13)/R13</f>
        <v>-0.79983868190071628</v>
      </c>
      <c r="U13" s="3">
        <f>(((D13*$U$8)+F13)*3.412*$U$2+((E13*$U$8)+G13)*100*$U$3)</f>
        <v>847.75797227739349</v>
      </c>
      <c r="V13" s="15">
        <f>((H13*3.412*$U$2)+(I13*100*$U$3))</f>
        <v>1535.6303590488801</v>
      </c>
      <c r="W13" s="11">
        <f>(U13-V13)/U13</f>
        <v>-0.81140184966188555</v>
      </c>
    </row>
    <row r="14" spans="1:23" x14ac:dyDescent="0.25">
      <c r="D14" s="4"/>
      <c r="E14" s="4"/>
      <c r="F14" s="4"/>
      <c r="G14" s="4"/>
      <c r="H14" s="4"/>
      <c r="I14" s="4"/>
      <c r="J14" s="4"/>
      <c r="K14" s="8"/>
      <c r="L14" s="4"/>
      <c r="M14" s="3"/>
      <c r="N14" s="9"/>
    </row>
    <row r="15" spans="1:23" x14ac:dyDescent="0.25">
      <c r="A15" s="17" t="s">
        <v>21</v>
      </c>
      <c r="J15" t="s">
        <v>32</v>
      </c>
      <c r="O15" t="s">
        <v>29</v>
      </c>
      <c r="R15" t="s">
        <v>33</v>
      </c>
      <c r="U15" t="s">
        <v>34</v>
      </c>
    </row>
    <row r="16" spans="1:23" x14ac:dyDescent="0.25">
      <c r="D16" s="7"/>
      <c r="E16" s="7"/>
      <c r="F16" s="7"/>
      <c r="G16" s="7"/>
      <c r="H16" s="7"/>
      <c r="I16" s="7"/>
      <c r="J16" s="1">
        <v>0.61</v>
      </c>
      <c r="O16" s="2">
        <v>0.74</v>
      </c>
      <c r="R16" s="2">
        <v>0.66</v>
      </c>
      <c r="U16" s="2">
        <v>0.65</v>
      </c>
    </row>
    <row r="17" spans="1:23" x14ac:dyDescent="0.25">
      <c r="A17" s="4">
        <f>A9</f>
        <v>72297</v>
      </c>
      <c r="B17">
        <f t="shared" ref="B17:C17" si="0">B9</f>
        <v>70</v>
      </c>
      <c r="C17" t="str">
        <f t="shared" si="0"/>
        <v>MF midrise (4 stories) with in-unit gas DHW and one-to-one heat pumps</v>
      </c>
      <c r="D17" s="7">
        <f>D9</f>
        <v>288560.5</v>
      </c>
      <c r="E17" s="7">
        <f t="shared" ref="E17:I17" si="1">E9</f>
        <v>29914.5</v>
      </c>
      <c r="F17" s="7">
        <f t="shared" si="1"/>
        <v>186969</v>
      </c>
      <c r="G17" s="7">
        <f t="shared" si="1"/>
        <v>3.5</v>
      </c>
      <c r="H17" s="7">
        <f t="shared" si="1"/>
        <v>499453</v>
      </c>
      <c r="I17" s="7">
        <f t="shared" si="1"/>
        <v>9078</v>
      </c>
      <c r="J17" s="4">
        <f>((D17*$J$16)+F17)*3.412+((E17*$J$16)+G17)*100</f>
        <v>3063659.4678600002</v>
      </c>
      <c r="K17" s="8">
        <f>J17/A17</f>
        <v>42.376024840034859</v>
      </c>
      <c r="L17" s="4">
        <f>H17*3.412+I17*100</f>
        <v>2611933.6359999999</v>
      </c>
      <c r="M17" s="8">
        <f>L17/A17</f>
        <v>36.127828761912667</v>
      </c>
      <c r="N17" s="12">
        <f>(J17-L17)/J17</f>
        <v>0.14744648894530557</v>
      </c>
      <c r="O17" s="10">
        <f>((D17*$O$16)+F17)*$O$2+((E17*$O$16)+G17)*$O$3</f>
        <v>83189.704405000011</v>
      </c>
      <c r="P17" s="10">
        <f>H17*$O$2+I17*$O$3</f>
        <v>76852.435499999992</v>
      </c>
      <c r="Q17" s="12">
        <f>(O17-P17)/O17</f>
        <v>7.6178524137406667E-2</v>
      </c>
      <c r="R17" s="3">
        <f>(((D17*$R$16)+F17)*3.412*$R$2+((E17*$R$16)+G17)*100*$R$3)/A17</f>
        <v>78.553077439561818</v>
      </c>
      <c r="S17" s="15">
        <f>((H17*3.412*$R$2)+(I17*100*$R$3))/A17</f>
        <v>79.183979705935229</v>
      </c>
      <c r="T17" s="12">
        <f>(R17-S17)/R17</f>
        <v>-8.0315410539940069E-3</v>
      </c>
      <c r="U17" s="3">
        <f>(((D17*$U$16)+F17)*3.412*$U$2+((E17*$U$16)+G17)*100*$U$3)</f>
        <v>265.16049865468301</v>
      </c>
      <c r="V17" s="15">
        <f>((H17*3.412*$U$2)+(I17*100*$U$3))</f>
        <v>264.07586567212002</v>
      </c>
      <c r="W17" s="12">
        <f>(U17-V17)/U17</f>
        <v>4.0904772319632155E-3</v>
      </c>
    </row>
    <row r="18" spans="1:23" x14ac:dyDescent="0.25">
      <c r="A18" s="4">
        <f>A10</f>
        <v>72297</v>
      </c>
      <c r="B18">
        <f t="shared" ref="B18:C21" si="2">B10</f>
        <v>70</v>
      </c>
      <c r="C18" t="str">
        <f t="shared" si="2"/>
        <v>MF midrise (4 stories) with in-unit elec DHW and one-to-one heat pumps</v>
      </c>
      <c r="D18" s="7">
        <f t="shared" ref="D18:I21" si="3">D10</f>
        <v>288560.5</v>
      </c>
      <c r="E18" s="7">
        <f t="shared" si="3"/>
        <v>29914.5</v>
      </c>
      <c r="F18" s="7">
        <f t="shared" si="3"/>
        <v>186969</v>
      </c>
      <c r="G18" s="7">
        <f t="shared" si="3"/>
        <v>3.5</v>
      </c>
      <c r="H18" s="7">
        <f t="shared" si="3"/>
        <v>715259</v>
      </c>
      <c r="I18" s="7">
        <f t="shared" si="3"/>
        <v>0</v>
      </c>
      <c r="J18" s="4">
        <f>((D18*$J$16)+F18)*3.412+((E18*$J$16)+G18)*100</f>
        <v>3063659.4678600002</v>
      </c>
      <c r="K18" s="8">
        <f>J18/A18</f>
        <v>42.376024840034859</v>
      </c>
      <c r="L18" s="4">
        <f>H18*3.412+I18*100</f>
        <v>2440463.7080000001</v>
      </c>
      <c r="M18" s="8">
        <f>L18/A18</f>
        <v>33.756085425398012</v>
      </c>
      <c r="N18" s="12">
        <f>(J18-L18)/J18</f>
        <v>0.20341547955893061</v>
      </c>
      <c r="O18" s="10">
        <f>((D18*$O$16)+F18)*$O$2+((E18*$O$16)+G18)*$O$3</f>
        <v>83189.704405000011</v>
      </c>
      <c r="P18" s="10">
        <f>H18*$O$2+I18*$O$3</f>
        <v>91195.522500000006</v>
      </c>
      <c r="Q18" s="11">
        <f>(O18-P18)/O18</f>
        <v>-9.6235683877713307E-2</v>
      </c>
      <c r="R18" s="3">
        <f>(((D18*$R$16)+F18)*3.412*$R$2+((E18*$R$16)+G18)*100*$R$3)/A18</f>
        <v>78.553077439561818</v>
      </c>
      <c r="S18" s="15">
        <f>((H18*3.412*$R$2)+(I18*100*$R$3))/A18</f>
        <v>94.517039191114421</v>
      </c>
      <c r="T18" s="11">
        <f>(R18-S18)/R18</f>
        <v>-0.203225160259764</v>
      </c>
      <c r="U18" s="3">
        <f>(((D18*$U$16)+F18)*3.412*$U$2+((E18*$U$16)+G18)*100*$U$3)</f>
        <v>265.16049865468301</v>
      </c>
      <c r="V18" s="15">
        <f>((H18*3.412*$U$2)+(I18*100*$U$3))</f>
        <v>309.13353789236004</v>
      </c>
      <c r="W18" s="11">
        <f>(U18-V18)/U18</f>
        <v>-0.16583555793860105</v>
      </c>
    </row>
    <row r="19" spans="1:23" x14ac:dyDescent="0.25">
      <c r="A19" s="4">
        <f>A11</f>
        <v>422039</v>
      </c>
      <c r="B19">
        <f t="shared" si="2"/>
        <v>431</v>
      </c>
      <c r="C19" t="str">
        <f t="shared" si="2"/>
        <v>MF mixed use (7 stories)</v>
      </c>
      <c r="D19" s="7">
        <f t="shared" si="3"/>
        <v>2193677</v>
      </c>
      <c r="E19" s="7">
        <f t="shared" si="3"/>
        <v>86681</v>
      </c>
      <c r="F19" s="7">
        <f t="shared" si="3"/>
        <v>2489834</v>
      </c>
      <c r="G19" s="7">
        <f t="shared" si="3"/>
        <v>14</v>
      </c>
      <c r="H19" s="7">
        <f t="shared" si="3"/>
        <v>4574174</v>
      </c>
      <c r="I19" s="7">
        <f t="shared" si="3"/>
        <v>1565</v>
      </c>
      <c r="J19" s="4">
        <f>((D19*$J$16)+F19)*3.412+((E19*$J$16)+G19)*100</f>
        <v>18349998.421640001</v>
      </c>
      <c r="K19" s="8">
        <f>J19/A19</f>
        <v>43.479390344589007</v>
      </c>
      <c r="L19" s="4">
        <f>H19*3.412+I19*100</f>
        <v>15763581.687999999</v>
      </c>
      <c r="M19" s="8">
        <f>L19/A19</f>
        <v>37.351007105978354</v>
      </c>
      <c r="N19" s="12">
        <f>(J19-L19)/J19</f>
        <v>0.14094915292144453</v>
      </c>
      <c r="O19" s="10">
        <f>((D19*$O$16)+F19)*$O$2+((E19*$O$16)+G19)*$O$3</f>
        <v>617520.43088999996</v>
      </c>
      <c r="P19" s="10">
        <f>H19*$O$2+I19*$O$3</f>
        <v>585478</v>
      </c>
      <c r="Q19" s="12">
        <f>(O19-P19)/O19</f>
        <v>5.1888859521326082E-2</v>
      </c>
      <c r="R19" s="3">
        <f>(((D19*$R$16)+F19)*3.412*$R$2+((E19*$R$16)+G19)*100*$R$3)/A19</f>
        <v>103.37267340210738</v>
      </c>
      <c r="S19" s="15">
        <f>((H19*3.412*$R$2)+(I19*100*$R$3))/A19</f>
        <v>103.93388697821764</v>
      </c>
      <c r="T19" s="12">
        <f>(R19-S19)/R19</f>
        <v>-5.4290322349235202E-3</v>
      </c>
      <c r="U19" s="3">
        <f>(((D19*$U$16)+F19)*3.412*$U$2+((E19*$U$16)+G19)*100*$U$3)</f>
        <v>1991.6784277408619</v>
      </c>
      <c r="V19" s="15">
        <f>((H19*3.412*$U$2)+(I19*100*$U$3))</f>
        <v>1985.26075241896</v>
      </c>
      <c r="W19" s="12">
        <f>(U19-V19)/U19</f>
        <v>3.2222447321385212E-3</v>
      </c>
    </row>
    <row r="20" spans="1:23" x14ac:dyDescent="0.25">
      <c r="A20" s="4">
        <f>A12</f>
        <v>379493</v>
      </c>
      <c r="B20">
        <f t="shared" si="2"/>
        <v>466</v>
      </c>
      <c r="C20" t="str">
        <f t="shared" si="2"/>
        <v xml:space="preserve">MF (12 stories ), central gas fired DHW </v>
      </c>
      <c r="D20" s="7">
        <f t="shared" si="3"/>
        <v>2074399</v>
      </c>
      <c r="E20" s="7">
        <f t="shared" si="3"/>
        <v>146284</v>
      </c>
      <c r="F20" s="7">
        <f t="shared" si="3"/>
        <v>1479562</v>
      </c>
      <c r="G20" s="7">
        <f t="shared" si="3"/>
        <v>24</v>
      </c>
      <c r="H20" s="7">
        <f t="shared" si="3"/>
        <v>3535763</v>
      </c>
      <c r="I20" s="7">
        <f t="shared" si="3"/>
        <v>52007</v>
      </c>
      <c r="J20" s="4">
        <f t="shared" ref="J20:J21" si="4">((D20*$J$16)+F20)*3.412+((E20*$J$16)+G20)*100</f>
        <v>18291477.670680001</v>
      </c>
      <c r="K20" s="8">
        <f t="shared" ref="K20:K21" si="5">J20/A20</f>
        <v>48.19977620319743</v>
      </c>
      <c r="L20" s="4">
        <f t="shared" ref="L20:L21" si="6">H20*3.412+I20*100</f>
        <v>17264723.355999999</v>
      </c>
      <c r="M20" s="8">
        <f t="shared" ref="M20:M21" si="7">L20/A20</f>
        <v>45.494181331407951</v>
      </c>
      <c r="N20" s="12">
        <f t="shared" ref="N20:N21" si="8">(J20-L20)/J20</f>
        <v>5.6132934318686573E-2</v>
      </c>
      <c r="O20" s="10">
        <f t="shared" ref="O20:O21" si="9">((D20*$O$16)+F20)*$O$2+((E20*$O$16)+G20)*$O$3</f>
        <v>541469.50680999993</v>
      </c>
      <c r="P20" s="10">
        <f t="shared" ref="P20:P21" si="10">H20*$O$2+I20*$O$3</f>
        <v>526271.93950000009</v>
      </c>
      <c r="Q20" s="12">
        <f t="shared" ref="Q20:Q21" si="11">(O20-P20)/O20</f>
        <v>2.8067263472571911E-2</v>
      </c>
      <c r="R20" s="3">
        <f t="shared" ref="R20:R21" si="12">(((D20*$R$16)+F20)*3.412*$R$2+((E20*$R$16)+G20)*100*$R$3)/A20</f>
        <v>98.433990593302113</v>
      </c>
      <c r="S20" s="15">
        <f t="shared" ref="S20:S21" si="13">((H20*3.412*$R$2)+(I20*100*$R$3))/A20</f>
        <v>103.40111779874726</v>
      </c>
      <c r="T20" s="12">
        <f t="shared" ref="T20:T21" si="14">(R20-S20)/R20</f>
        <v>-5.0461503953118582E-2</v>
      </c>
      <c r="U20" s="3">
        <f t="shared" ref="U20:U21" si="15">(((D20*$U$16)+F20)*3.412*$U$2+((E20*$U$16)+G20)*100*$U$3)</f>
        <v>1727.343839344154</v>
      </c>
      <c r="V20" s="15">
        <f t="shared" ref="V20:V21" si="16">((H20*3.412*$U$2)+(I20*100*$U$3))</f>
        <v>1804.3590155045201</v>
      </c>
      <c r="W20" s="12">
        <f t="shared" ref="W20:W21" si="17">(U20-V20)/U20</f>
        <v>-4.4585897958571791E-2</v>
      </c>
    </row>
    <row r="21" spans="1:23" x14ac:dyDescent="0.25">
      <c r="A21" s="4">
        <f>A13</f>
        <v>290000</v>
      </c>
      <c r="B21">
        <f t="shared" si="2"/>
        <v>325</v>
      </c>
      <c r="C21" t="str">
        <f t="shared" si="2"/>
        <v xml:space="preserve">MF (9 stories), in unit electric DHW </v>
      </c>
      <c r="D21" s="7">
        <f t="shared" si="3"/>
        <v>2017398</v>
      </c>
      <c r="E21" s="7">
        <f t="shared" si="3"/>
        <v>77916</v>
      </c>
      <c r="F21" s="7">
        <f t="shared" si="3"/>
        <v>232486</v>
      </c>
      <c r="G21" s="7">
        <f t="shared" si="3"/>
        <v>293</v>
      </c>
      <c r="H21" s="7">
        <f t="shared" si="3"/>
        <v>2332322</v>
      </c>
      <c r="I21" s="7">
        <f t="shared" si="3"/>
        <v>99342</v>
      </c>
      <c r="J21" s="4">
        <f t="shared" si="4"/>
        <v>9774269.0373600014</v>
      </c>
      <c r="K21" s="8">
        <f t="shared" si="5"/>
        <v>33.704375990896558</v>
      </c>
      <c r="L21" s="4">
        <f t="shared" si="6"/>
        <v>17892082.664000001</v>
      </c>
      <c r="M21" s="8">
        <f t="shared" si="7"/>
        <v>61.696836772413796</v>
      </c>
      <c r="N21" s="12">
        <f t="shared" si="8"/>
        <v>-0.83052897312437746</v>
      </c>
      <c r="O21" s="10">
        <f t="shared" si="9"/>
        <v>304070.13514000003</v>
      </c>
      <c r="P21" s="10">
        <f t="shared" si="10"/>
        <v>441516.29700000002</v>
      </c>
      <c r="Q21" s="12">
        <f t="shared" si="11"/>
        <v>-0.45202124765300283</v>
      </c>
      <c r="R21" s="3">
        <f t="shared" si="12"/>
        <v>70.247844762924132</v>
      </c>
      <c r="S21" s="15">
        <f t="shared" si="13"/>
        <v>112.80338434206897</v>
      </c>
      <c r="T21" s="12">
        <f t="shared" si="14"/>
        <v>-0.60579139079303224</v>
      </c>
      <c r="U21" s="3">
        <f t="shared" si="15"/>
        <v>937.7588859023881</v>
      </c>
      <c r="V21" s="15">
        <f t="shared" si="16"/>
        <v>1535.6303590488801</v>
      </c>
      <c r="W21" s="12">
        <f t="shared" si="17"/>
        <v>-0.63755351416496719</v>
      </c>
    </row>
  </sheetData>
  <mergeCells count="12">
    <mergeCell ref="O5:Q5"/>
    <mergeCell ref="R5:T5"/>
    <mergeCell ref="U5:W5"/>
    <mergeCell ref="D5:I5"/>
    <mergeCell ref="D6:G6"/>
    <mergeCell ref="J5:N5"/>
    <mergeCell ref="D7:E7"/>
    <mergeCell ref="F7:G7"/>
    <mergeCell ref="H6:I7"/>
    <mergeCell ref="N6:N8"/>
    <mergeCell ref="L6:M7"/>
    <mergeCell ref="J6:K6"/>
  </mergeCells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Zimin</dc:creator>
  <cp:lastModifiedBy>Studhalter, Casey (DOEE)</cp:lastModifiedBy>
  <dcterms:created xsi:type="dcterms:W3CDTF">2022-03-23T13:21:45Z</dcterms:created>
  <dcterms:modified xsi:type="dcterms:W3CDTF">2022-03-24T17:52:27Z</dcterms:modified>
</cp:coreProperties>
</file>